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tax clculator" sheetId="1" r:id="rId1"/>
  </sheets>
  <definedNames>
    <definedName name="Excel_BuiltIn__FilterDatabase_1">'tax clculator'!$D$6:$D$7</definedName>
  </definedNames>
  <calcPr fullCalcOnLoad="1"/>
</workbook>
</file>

<file path=xl/comments1.xml><?xml version="1.0" encoding="utf-8"?>
<comments xmlns="http://schemas.openxmlformats.org/spreadsheetml/2006/main">
  <authors>
    <author>akuma68</author>
  </authors>
  <commentList>
    <comment ref="D4" authorId="0">
      <text>
        <r>
          <rPr>
            <b/>
            <sz val="8"/>
            <rFont val="Tahoma"/>
            <family val="2"/>
          </rPr>
          <t>Amit:</t>
        </r>
        <r>
          <rPr>
            <sz val="8"/>
            <rFont val="Tahoma"/>
            <family val="2"/>
          </rPr>
          <t xml:space="preserve">
Enter DOB in DD-MOn-YY format e.g. 7-OCT-81</t>
        </r>
      </text>
    </comment>
    <comment ref="D6" authorId="0">
      <text>
        <r>
          <rPr>
            <b/>
            <sz val="8"/>
            <rFont val="Tahoma"/>
            <family val="2"/>
          </rPr>
          <t>akuma68:</t>
        </r>
        <r>
          <rPr>
            <sz val="8"/>
            <rFont val="Tahoma"/>
            <family val="2"/>
          </rPr>
          <t xml:space="preserve">
Enter M for Male and F for Female</t>
        </r>
      </text>
    </comment>
    <comment ref="C7" authorId="0">
      <text>
        <r>
          <rPr>
            <b/>
            <sz val="8"/>
            <rFont val="Tahoma"/>
            <family val="2"/>
          </rPr>
          <t>akuma68:</t>
        </r>
        <r>
          <rPr>
            <sz val="8"/>
            <rFont val="Tahoma"/>
            <family val="2"/>
          </rPr>
          <t xml:space="preserve">
Total Annual Income</t>
        </r>
      </text>
    </comment>
    <comment ref="D9" authorId="0">
      <text>
        <r>
          <rPr>
            <b/>
            <sz val="8"/>
            <rFont val="Tahoma"/>
            <family val="2"/>
          </rPr>
          <t>akuma68:</t>
        </r>
        <r>
          <rPr>
            <sz val="8"/>
            <rFont val="Tahoma"/>
            <family val="2"/>
          </rPr>
          <t xml:space="preserve">
Least of Below 3 criteria</t>
        </r>
      </text>
    </comment>
    <comment ref="C10" authorId="0">
      <text>
        <r>
          <rPr>
            <sz val="8"/>
            <rFont val="Tahoma"/>
            <family val="2"/>
          </rPr>
          <t>Amit Kumar: Enter M for Metro NM for Non Metro</t>
        </r>
      </text>
    </comment>
    <comment ref="D12" authorId="0">
      <text>
        <r>
          <rPr>
            <b/>
            <sz val="8"/>
            <rFont val="Tahoma"/>
            <family val="2"/>
          </rPr>
          <t>akuma68:</t>
        </r>
        <r>
          <rPr>
            <sz val="8"/>
            <rFont val="Tahoma"/>
            <family val="2"/>
          </rPr>
          <t xml:space="preserve">
Rent Paid - 10% of Basic</t>
        </r>
      </text>
    </comment>
    <comment ref="D11" authorId="0">
      <text>
        <r>
          <rPr>
            <b/>
            <sz val="8"/>
            <rFont val="Tahoma"/>
            <family val="2"/>
          </rPr>
          <t>akuma68:</t>
        </r>
        <r>
          <rPr>
            <sz val="8"/>
            <rFont val="Tahoma"/>
            <family val="2"/>
          </rPr>
          <t xml:space="preserve">
40% of (basic+DA) for Non Metro &amp; 50% for Metro</t>
        </r>
      </text>
    </comment>
    <comment ref="C11" authorId="0">
      <text>
        <r>
          <rPr>
            <b/>
            <sz val="8"/>
            <rFont val="Tahoma"/>
            <family val="2"/>
          </rPr>
          <t>akuma68:</t>
        </r>
        <r>
          <rPr>
            <sz val="8"/>
            <rFont val="Tahoma"/>
            <family val="2"/>
          </rPr>
          <t xml:space="preserve">
Annual Basic Salary</t>
        </r>
      </text>
    </comment>
    <comment ref="C12" authorId="0">
      <text>
        <r>
          <rPr>
            <b/>
            <sz val="8"/>
            <rFont val="Tahoma"/>
            <family val="2"/>
          </rPr>
          <t>akuma68:</t>
        </r>
        <r>
          <rPr>
            <sz val="8"/>
            <rFont val="Tahoma"/>
            <family val="2"/>
          </rPr>
          <t xml:space="preserve">
Annual Rent Paid</t>
        </r>
      </text>
    </comment>
    <comment ref="C13" authorId="0">
      <text>
        <r>
          <rPr>
            <b/>
            <sz val="8"/>
            <rFont val="Tahoma"/>
            <family val="2"/>
          </rPr>
          <t>akuma68:</t>
        </r>
        <r>
          <rPr>
            <sz val="8"/>
            <rFont val="Tahoma"/>
            <family val="2"/>
          </rPr>
          <t xml:space="preserve">
Annual HRA received</t>
        </r>
      </text>
    </comment>
    <comment ref="C14" authorId="0">
      <text>
        <r>
          <rPr>
            <b/>
            <sz val="8"/>
            <rFont val="Tahoma"/>
            <family val="2"/>
          </rPr>
          <t>akuma68:</t>
        </r>
        <r>
          <rPr>
            <sz val="8"/>
            <rFont val="Tahoma"/>
            <family val="2"/>
          </rPr>
          <t xml:space="preserve">
Annual Conv. Allowance</t>
        </r>
      </text>
    </comment>
    <comment ref="C30" authorId="0">
      <text>
        <r>
          <rPr>
            <b/>
            <sz val="8"/>
            <rFont val="Tahoma"/>
            <family val="2"/>
          </rPr>
          <t>akuma68:</t>
        </r>
        <r>
          <rPr>
            <sz val="8"/>
            <rFont val="Tahoma"/>
            <family val="2"/>
          </rPr>
          <t xml:space="preserve">
Calculation is valid if you have only 1 House. For 2 or more houses there is no limit of 1.5L as losses</t>
        </r>
      </text>
    </comment>
    <comment ref="C45" authorId="0">
      <text>
        <r>
          <rPr>
            <b/>
            <sz val="8"/>
            <rFont val="Tahoma"/>
            <family val="2"/>
          </rPr>
          <t>akuma68:</t>
        </r>
        <r>
          <rPr>
            <sz val="8"/>
            <rFont val="Tahoma"/>
            <family val="2"/>
          </rPr>
          <t xml:space="preserve">
Self here includes spouse &amp; children</t>
        </r>
      </text>
    </comment>
  </commentList>
</comments>
</file>

<file path=xl/sharedStrings.xml><?xml version="1.0" encoding="utf-8"?>
<sst xmlns="http://schemas.openxmlformats.org/spreadsheetml/2006/main" count="99" uniqueCount="76">
  <si>
    <t>Income Tax for Men</t>
  </si>
  <si>
    <t>Tax</t>
  </si>
  <si>
    <t>Tax Slabs</t>
  </si>
  <si>
    <t>Incremental</t>
  </si>
  <si>
    <t>Taxable Inc</t>
  </si>
  <si>
    <t>Tax Bracket</t>
  </si>
  <si>
    <t>Birth date</t>
  </si>
  <si>
    <t>Age</t>
  </si>
  <si>
    <t>Sex</t>
  </si>
  <si>
    <t>M</t>
  </si>
  <si>
    <t>300001 - 500000</t>
  </si>
  <si>
    <t>Gross Annual Income/Salary (with all allowances)</t>
  </si>
  <si>
    <t>500001 +</t>
  </si>
  <si>
    <t>Less: Allowances exempt u/s 10(for Service Period)</t>
  </si>
  <si>
    <t>Total Tax</t>
  </si>
  <si>
    <t>    (I)  H.R.A. exemption</t>
  </si>
  <si>
    <t>     City of Residence</t>
  </si>
  <si>
    <t>Income Tax for women</t>
  </si>
  <si>
    <t>     Basic Salary (Basic+DA)</t>
  </si>
  <si>
    <t>0 - 190000</t>
  </si>
  <si>
    <t>     Rent Paid</t>
  </si>
  <si>
    <t>190001 - 300000</t>
  </si>
  <si>
    <t>     H.R.A received</t>
  </si>
  <si>
    <t>     (II)  Conveyance allowances(Max Rs.800/-p.m)</t>
  </si>
  <si>
    <t>    (iii) Any Other Exempted Receipts/ allowances</t>
  </si>
  <si>
    <t>    (iv) Professional Tax</t>
  </si>
  <si>
    <t>Income under the head salaries</t>
  </si>
  <si>
    <t>Income Tax for Senior Citizen</t>
  </si>
  <si>
    <t>Add: Any other income from other sources</t>
  </si>
  <si>
    <t>         1. Interest received from following Investments</t>
  </si>
  <si>
    <t>            a.  Bank  ( Saving /FD /Rec )</t>
  </si>
  <si>
    <t>            b.  N.S.C.(accrued/ Recd )</t>
  </si>
  <si>
    <t>            c.  Post Ofice M.I.S (6 yrs.) </t>
  </si>
  <si>
    <t>            d.  Post Office Recring Deposit (5 yrs.)</t>
  </si>
  <si>
    <t>            e.  Term Deposit (1 to 5 yrs.)</t>
  </si>
  <si>
    <t>            f.   Saving Bonds (6yrs.)  </t>
  </si>
  <si>
    <t>           g.  Kishan Vikas patra</t>
  </si>
  <si>
    <t>        2.  Any Other Income</t>
  </si>
  <si>
    <t>        3.  Any Other Income</t>
  </si>
  <si>
    <t>Income from house property</t>
  </si>
  <si>
    <t>      Less: Interest paid on housing loan(max150,000)</t>
  </si>
  <si>
    <t>Gross Total Income</t>
  </si>
  <si>
    <t>        </t>
  </si>
  <si>
    <t>Less: Deduction under Sec  80C (Max Rs.1,00,000/-)</t>
  </si>
  <si>
    <t>         a. PF&amp;VPF Contribution</t>
  </si>
  <si>
    <t>         b.  Life Insurance premiums</t>
  </si>
  <si>
    <t>         c.  PPF a/c Contribution</t>
  </si>
  <si>
    <t>         d.  N.S.C (Investment +accrued Int first five year)</t>
  </si>
  <si>
    <t>         e.  Housing. Loan (Principal Repayment ) </t>
  </si>
  <si>
    <t>         f.   Tuition  fees  for 2 children</t>
  </si>
  <si>
    <t>         g.  E.L.S.S(Mutual Fund)</t>
  </si>
  <si>
    <t>         h.  Tax Savings Bonds  </t>
  </si>
  <si>
    <t>         I.   FD (5 Years and above)</t>
  </si>
  <si>
    <t>         j.  80 ccc Pension  Plan</t>
  </si>
  <si>
    <t>Less: Deduction under chapter VI A</t>
  </si>
  <si>
    <t>       b.  80 D    Medical Insurance premiums (for Self )</t>
  </si>
  <si>
    <t>       C.  80 D    Medical Insurance premiums (for Parents)</t>
  </si>
  <si>
    <t>       d.  80 E   Int Paid on Education Loan</t>
  </si>
  <si>
    <t>       e.  80G    Donation to approved fund</t>
  </si>
  <si>
    <t>       f.  Any other</t>
  </si>
  <si>
    <t>Total Income</t>
  </si>
  <si>
    <t>Total Tax Payable</t>
  </si>
  <si>
    <t>Add; Edn Cess @ 3%</t>
  </si>
  <si>
    <t>Net Tax Payable</t>
  </si>
  <si>
    <t>Tax to Total Income Ratio</t>
  </si>
  <si>
    <t>Income Tax Calculator for FY 2011-12</t>
  </si>
  <si>
    <t>Income Tax for Very Senior Citizen</t>
  </si>
  <si>
    <t>0 - 180000</t>
  </si>
  <si>
    <t>180001 - 500000</t>
  </si>
  <si>
    <t>500001 - 800000</t>
  </si>
  <si>
    <t>800001 +</t>
  </si>
  <si>
    <t>www.ApnaPlan.com</t>
  </si>
  <si>
    <t>Less: Deducation of for Infrastructure Bond (20k Max) Sec 80CCF</t>
  </si>
  <si>
    <t>0 - 250000</t>
  </si>
  <si>
    <t>250001 - 500000</t>
  </si>
  <si>
    <t>0 - 500000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</si>
</sst>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;&quot; (&quot;#,##0\);&quot; -&quot;#\ ;@\ "/>
    <numFmt numFmtId="165" formatCode="[$-409]dddd\,\ mmmm\ dd\,\ yyyy"/>
    <numFmt numFmtId="166" formatCode="[$-409]h:mm:ss\ AM/PM"/>
  </numFmts>
  <fonts count="51">
    <font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0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62"/>
      <name val="Calibri"/>
      <family val="2"/>
    </font>
    <font>
      <sz val="10"/>
      <color indexed="9"/>
      <name val="Calibri"/>
      <family val="2"/>
    </font>
    <font>
      <b/>
      <sz val="11"/>
      <color indexed="63"/>
      <name val="Calibri"/>
      <family val="2"/>
    </font>
    <font>
      <b/>
      <sz val="12"/>
      <color indexed="20"/>
      <name val="Calibri"/>
      <family val="2"/>
    </font>
    <font>
      <b/>
      <sz val="11"/>
      <color indexed="17"/>
      <name val="Calibri"/>
      <family val="2"/>
    </font>
    <font>
      <b/>
      <sz val="11"/>
      <color indexed="58"/>
      <name val="Calibri"/>
      <family val="2"/>
    </font>
    <font>
      <u val="single"/>
      <sz val="14"/>
      <color indexed="12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5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4"/>
      <color theme="10"/>
      <name val="Arial"/>
      <family val="2"/>
    </font>
    <font>
      <b/>
      <sz val="8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56"/>
      </bottom>
    </border>
    <border>
      <left style="double">
        <color indexed="63"/>
      </left>
      <right style="thin">
        <color indexed="56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56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56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6"/>
      </bottom>
    </border>
    <border>
      <left style="double">
        <color indexed="63"/>
      </left>
      <right style="thin">
        <color indexed="56"/>
      </right>
      <top style="double">
        <color indexed="63"/>
      </top>
      <bottom style="thin">
        <color indexed="56"/>
      </bottom>
    </border>
    <border>
      <left style="thin">
        <color indexed="56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56"/>
      </right>
      <top style="thin">
        <color indexed="56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56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0" fillId="33" borderId="10" xfId="0" applyFill="1" applyBorder="1" applyAlignment="1" applyProtection="1">
      <alignment vertical="center"/>
      <protection hidden="1"/>
    </xf>
    <xf numFmtId="0" fontId="5" fillId="33" borderId="10" xfId="0" applyFont="1" applyFill="1" applyBorder="1" applyAlignment="1" applyProtection="1">
      <alignment vertical="center"/>
      <protection hidden="1"/>
    </xf>
    <xf numFmtId="0" fontId="4" fillId="33" borderId="10" xfId="0" applyFont="1" applyFill="1" applyBorder="1" applyAlignment="1" applyProtection="1">
      <alignment vertical="center"/>
      <protection hidden="1"/>
    </xf>
    <xf numFmtId="0" fontId="9" fillId="0" borderId="11" xfId="0" applyNumberFormat="1" applyFont="1" applyBorder="1" applyAlignment="1" applyProtection="1">
      <alignment vertical="center"/>
      <protection hidden="1"/>
    </xf>
    <xf numFmtId="0" fontId="10" fillId="0" borderId="11" xfId="0" applyNumberFormat="1" applyFont="1" applyBorder="1" applyAlignment="1" applyProtection="1">
      <alignment vertical="center"/>
      <protection hidden="1"/>
    </xf>
    <xf numFmtId="3" fontId="0" fillId="33" borderId="0" xfId="0" applyNumberFormat="1" applyFont="1" applyFill="1" applyBorder="1" applyAlignment="1" applyProtection="1">
      <alignment vertical="center"/>
      <protection hidden="1"/>
    </xf>
    <xf numFmtId="3" fontId="7" fillId="34" borderId="12" xfId="0" applyNumberFormat="1" applyFont="1" applyFill="1" applyBorder="1" applyAlignment="1" applyProtection="1">
      <alignment vertical="center"/>
      <protection hidden="1"/>
    </xf>
    <xf numFmtId="3" fontId="8" fillId="35" borderId="13" xfId="0" applyNumberFormat="1" applyFont="1" applyFill="1" applyBorder="1" applyAlignment="1" applyProtection="1">
      <alignment vertical="center"/>
      <protection hidden="1"/>
    </xf>
    <xf numFmtId="3" fontId="3" fillId="33" borderId="14" xfId="0" applyNumberFormat="1" applyFont="1" applyFill="1" applyBorder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3" fontId="3" fillId="36" borderId="15" xfId="0" applyNumberFormat="1" applyFont="1" applyFill="1" applyBorder="1" applyAlignment="1" applyProtection="1">
      <alignment vertical="center"/>
      <protection hidden="1"/>
    </xf>
    <xf numFmtId="3" fontId="8" fillId="35" borderId="16" xfId="0" applyNumberFormat="1" applyFont="1" applyFill="1" applyBorder="1" applyAlignment="1" applyProtection="1">
      <alignment vertical="center"/>
      <protection hidden="1"/>
    </xf>
    <xf numFmtId="3" fontId="9" fillId="0" borderId="17" xfId="0" applyNumberFormat="1" applyFont="1" applyBorder="1" applyAlignment="1" applyProtection="1">
      <alignment vertical="center"/>
      <protection hidden="1"/>
    </xf>
    <xf numFmtId="3" fontId="9" fillId="37" borderId="18" xfId="0" applyNumberFormat="1" applyFont="1" applyFill="1" applyBorder="1" applyAlignment="1" applyProtection="1">
      <alignment vertical="center"/>
      <protection hidden="1"/>
    </xf>
    <xf numFmtId="3" fontId="10" fillId="0" borderId="17" xfId="0" applyNumberFormat="1" applyFont="1" applyBorder="1" applyAlignment="1" applyProtection="1">
      <alignment vertical="center"/>
      <protection hidden="1"/>
    </xf>
    <xf numFmtId="9" fontId="11" fillId="38" borderId="18" xfId="0" applyNumberFormat="1" applyFont="1" applyFill="1" applyBorder="1" applyAlignment="1" applyProtection="1">
      <alignment vertical="center"/>
      <protection hidden="1"/>
    </xf>
    <xf numFmtId="1" fontId="0" fillId="36" borderId="19" xfId="0" applyNumberForma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 locked="0"/>
    </xf>
    <xf numFmtId="0" fontId="2" fillId="0" borderId="0" xfId="0" applyFont="1" applyAlignment="1" applyProtection="1">
      <alignment vertical="center"/>
      <protection locked="0"/>
    </xf>
    <xf numFmtId="0" fontId="0" fillId="33" borderId="0" xfId="0" applyFill="1" applyBorder="1" applyAlignment="1" applyProtection="1">
      <alignment vertical="center"/>
      <protection locked="0"/>
    </xf>
    <xf numFmtId="0" fontId="0" fillId="33" borderId="20" xfId="0" applyFill="1" applyBorder="1" applyAlignment="1" applyProtection="1">
      <alignment vertical="center"/>
      <protection locked="0"/>
    </xf>
    <xf numFmtId="0" fontId="3" fillId="33" borderId="21" xfId="0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15" fontId="42" fillId="30" borderId="1" xfId="53" applyNumberFormat="1" applyAlignment="1" applyProtection="1">
      <alignment horizontal="center" vertical="center"/>
      <protection locked="0"/>
    </xf>
    <xf numFmtId="0" fontId="3" fillId="33" borderId="14" xfId="0" applyFont="1" applyFill="1" applyBorder="1" applyAlignment="1" applyProtection="1">
      <alignment vertical="center"/>
      <protection locked="0"/>
    </xf>
    <xf numFmtId="0" fontId="42" fillId="30" borderId="1" xfId="53" applyNumberFormat="1" applyAlignment="1" applyProtection="1">
      <alignment horizontal="center" vertical="center"/>
      <protection locked="0"/>
    </xf>
    <xf numFmtId="3" fontId="6" fillId="39" borderId="22" xfId="0" applyNumberFormat="1" applyFont="1" applyFill="1" applyBorder="1" applyAlignment="1" applyProtection="1">
      <alignment vertical="center"/>
      <protection locked="0"/>
    </xf>
    <xf numFmtId="3" fontId="0" fillId="33" borderId="0" xfId="0" applyNumberFormat="1" applyFont="1" applyFill="1" applyBorder="1" applyAlignment="1" applyProtection="1">
      <alignment vertical="center"/>
      <protection locked="0"/>
    </xf>
    <xf numFmtId="3" fontId="0" fillId="0" borderId="23" xfId="0" applyNumberFormat="1" applyFont="1" applyBorder="1" applyAlignment="1" applyProtection="1">
      <alignment horizontal="center" vertical="center"/>
      <protection locked="0"/>
    </xf>
    <xf numFmtId="3" fontId="6" fillId="39" borderId="23" xfId="0" applyNumberFormat="1" applyFont="1" applyFill="1" applyBorder="1" applyAlignment="1" applyProtection="1">
      <alignment vertical="center"/>
      <protection locked="0"/>
    </xf>
    <xf numFmtId="3" fontId="9" fillId="0" borderId="17" xfId="0" applyNumberFormat="1" applyFont="1" applyBorder="1" applyAlignment="1" applyProtection="1">
      <alignment vertical="center"/>
      <protection locked="0"/>
    </xf>
    <xf numFmtId="3" fontId="10" fillId="0" borderId="17" xfId="0" applyNumberFormat="1" applyFont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vertical="center"/>
      <protection hidden="1"/>
    </xf>
    <xf numFmtId="0" fontId="4" fillId="33" borderId="0" xfId="0" applyFont="1" applyFill="1" applyBorder="1" applyAlignment="1" applyProtection="1">
      <alignment vertical="center"/>
      <protection hidden="1"/>
    </xf>
    <xf numFmtId="0" fontId="0" fillId="0" borderId="0" xfId="0" applyAlignment="1" applyProtection="1">
      <alignment/>
      <protection hidden="1"/>
    </xf>
    <xf numFmtId="0" fontId="2" fillId="0" borderId="0" xfId="0" applyFont="1" applyAlignment="1" applyProtection="1">
      <alignment vertical="center"/>
      <protection hidden="1"/>
    </xf>
    <xf numFmtId="0" fontId="4" fillId="40" borderId="0" xfId="0" applyFont="1" applyFill="1" applyAlignment="1" applyProtection="1">
      <alignment vertical="center"/>
      <protection hidden="1"/>
    </xf>
    <xf numFmtId="0" fontId="4" fillId="0" borderId="0" xfId="0" applyFont="1" applyAlignment="1" applyProtection="1">
      <alignment vertical="center"/>
      <protection hidden="1"/>
    </xf>
    <xf numFmtId="164" fontId="0" fillId="0" borderId="0" xfId="0" applyNumberFormat="1" applyFont="1" applyFill="1" applyBorder="1" applyAlignment="1" applyProtection="1">
      <alignment vertical="center"/>
      <protection hidden="1"/>
    </xf>
    <xf numFmtId="1" fontId="0" fillId="0" borderId="0" xfId="0" applyNumberFormat="1" applyFont="1" applyFill="1" applyBorder="1" applyAlignment="1" applyProtection="1">
      <alignment vertical="center"/>
      <protection hidden="1"/>
    </xf>
    <xf numFmtId="9" fontId="0" fillId="0" borderId="0" xfId="0" applyNumberFormat="1" applyAlignment="1" applyProtection="1">
      <alignment vertical="center"/>
      <protection hidden="1"/>
    </xf>
    <xf numFmtId="3" fontId="0" fillId="0" borderId="0" xfId="0" applyNumberFormat="1" applyFont="1" applyFill="1" applyBorder="1" applyAlignment="1" applyProtection="1">
      <alignment vertical="center"/>
      <protection hidden="1"/>
    </xf>
    <xf numFmtId="49" fontId="0" fillId="0" borderId="0" xfId="0" applyNumberFormat="1" applyFont="1" applyFill="1" applyBorder="1" applyAlignment="1" applyProtection="1">
      <alignment vertical="center"/>
      <protection hidden="1"/>
    </xf>
    <xf numFmtId="164" fontId="4" fillId="0" borderId="0" xfId="0" applyNumberFormat="1" applyFont="1" applyFill="1" applyBorder="1" applyAlignment="1" applyProtection="1">
      <alignment vertical="center"/>
      <protection hidden="1"/>
    </xf>
    <xf numFmtId="0" fontId="1" fillId="0" borderId="24" xfId="0" applyNumberFormat="1" applyFont="1" applyFill="1" applyBorder="1" applyAlignment="1" applyProtection="1">
      <alignment horizontal="center" vertical="center"/>
      <protection hidden="1"/>
    </xf>
    <xf numFmtId="0" fontId="49" fillId="0" borderId="25" xfId="52" applyNumberFormat="1" applyFont="1" applyFill="1" applyBorder="1" applyAlignment="1" applyProtection="1">
      <alignment horizontal="center" vertical="center"/>
      <protection hidden="1"/>
    </xf>
    <xf numFmtId="0" fontId="12" fillId="0" borderId="25" xfId="0" applyNumberFormat="1" applyFont="1" applyFill="1" applyBorder="1" applyAlignment="1" applyProtection="1">
      <alignment horizontal="center" vertical="center"/>
      <protection hidden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CC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99FF66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66"/>
      <rgbColor rgb="00969696"/>
      <rgbColor rgb="00003366"/>
      <rgbColor rgb="00339966"/>
      <rgbColor rgb="000066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pnaplan.com/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1"/>
  <sheetViews>
    <sheetView showGridLines="0" tabSelected="1" zoomScalePageLayoutView="0" workbookViewId="0" topLeftCell="A27">
      <selection activeCell="D45" sqref="D45"/>
    </sheetView>
  </sheetViews>
  <sheetFormatPr defaultColWidth="9.140625" defaultRowHeight="12.75"/>
  <cols>
    <col min="1" max="1" width="1.1484375" style="18" customWidth="1"/>
    <col min="2" max="2" width="56.7109375" style="23" bestFit="1" customWidth="1"/>
    <col min="3" max="3" width="11.00390625" style="23" customWidth="1"/>
    <col min="4" max="4" width="9.421875" style="23" customWidth="1"/>
    <col min="5" max="5" width="9.57421875" style="23" customWidth="1"/>
    <col min="6" max="12" width="13.28125" style="18" customWidth="1"/>
    <col min="13" max="14" width="13.28125" style="35" customWidth="1"/>
    <col min="15" max="16" width="5.7109375" style="10" customWidth="1"/>
    <col min="17" max="17" width="33.57421875" style="10" hidden="1" customWidth="1"/>
    <col min="18" max="18" width="8.140625" style="10" hidden="1" customWidth="1"/>
    <col min="19" max="19" width="10.00390625" style="10" hidden="1" customWidth="1"/>
    <col min="20" max="20" width="11.8515625" style="10" hidden="1" customWidth="1"/>
    <col min="21" max="21" width="11.7109375" style="10" hidden="1" customWidth="1"/>
    <col min="22" max="22" width="11.8515625" style="10" hidden="1" customWidth="1"/>
    <col min="23" max="23" width="0.13671875" style="10" customWidth="1"/>
    <col min="24" max="24" width="9.140625" style="10" customWidth="1"/>
    <col min="25" max="16384" width="9.140625" style="23" customWidth="1"/>
  </cols>
  <sheetData>
    <row r="1" spans="1:24" s="19" customFormat="1" ht="23.25" customHeight="1">
      <c r="A1" s="18"/>
      <c r="B1" s="45" t="s">
        <v>65</v>
      </c>
      <c r="C1" s="45"/>
      <c r="D1" s="45"/>
      <c r="E1" s="45"/>
      <c r="F1" s="18"/>
      <c r="G1" s="18"/>
      <c r="H1" s="18"/>
      <c r="I1" s="18"/>
      <c r="J1" s="18"/>
      <c r="K1" s="18"/>
      <c r="L1" s="18"/>
      <c r="M1" s="35"/>
      <c r="N1" s="35"/>
      <c r="O1" s="36"/>
      <c r="P1" s="36"/>
      <c r="Q1" s="36"/>
      <c r="R1" s="36"/>
      <c r="S1" s="36"/>
      <c r="T1" s="36"/>
      <c r="U1" s="36"/>
      <c r="V1" s="36"/>
      <c r="W1" s="36"/>
      <c r="X1" s="36"/>
    </row>
    <row r="2" spans="1:24" s="19" customFormat="1" ht="23.25" customHeight="1">
      <c r="A2" s="18"/>
      <c r="B2" s="46" t="s">
        <v>71</v>
      </c>
      <c r="C2" s="47"/>
      <c r="D2" s="47"/>
      <c r="E2" s="47"/>
      <c r="F2" s="18"/>
      <c r="G2" s="18"/>
      <c r="H2" s="18"/>
      <c r="I2" s="18"/>
      <c r="J2" s="18"/>
      <c r="K2" s="18"/>
      <c r="L2" s="18"/>
      <c r="M2" s="35"/>
      <c r="N2" s="35"/>
      <c r="O2" s="36"/>
      <c r="P2" s="36"/>
      <c r="Q2" s="36"/>
      <c r="R2" s="36"/>
      <c r="S2" s="36"/>
      <c r="T2" s="36"/>
      <c r="U2" s="36"/>
      <c r="V2" s="36"/>
      <c r="W2" s="36"/>
      <c r="X2" s="36"/>
    </row>
    <row r="3" spans="2:22" ht="13.5" thickTop="1">
      <c r="B3" s="1"/>
      <c r="C3" s="20"/>
      <c r="D3" s="21"/>
      <c r="E3" s="22"/>
      <c r="Q3" s="37" t="s">
        <v>0</v>
      </c>
      <c r="R3" s="38" t="s">
        <v>1</v>
      </c>
      <c r="S3" s="38" t="s">
        <v>2</v>
      </c>
      <c r="T3" s="38" t="s">
        <v>3</v>
      </c>
      <c r="U3" s="38" t="s">
        <v>4</v>
      </c>
      <c r="V3" s="38" t="s">
        <v>5</v>
      </c>
    </row>
    <row r="4" spans="2:22" ht="15">
      <c r="B4" s="1"/>
      <c r="C4" s="33" t="s">
        <v>6</v>
      </c>
      <c r="D4" s="24">
        <v>29866</v>
      </c>
      <c r="E4" s="25"/>
      <c r="Q4" s="37" t="s">
        <v>67</v>
      </c>
      <c r="R4" s="39">
        <f>V4*U4</f>
        <v>0</v>
      </c>
      <c r="S4" s="39">
        <v>180000</v>
      </c>
      <c r="T4" s="39"/>
      <c r="U4" s="40">
        <f>S4</f>
        <v>180000</v>
      </c>
      <c r="V4" s="41">
        <v>0</v>
      </c>
    </row>
    <row r="5" spans="2:22" ht="12.75">
      <c r="B5" s="1"/>
      <c r="C5" s="34" t="s">
        <v>7</v>
      </c>
      <c r="D5" s="17">
        <f ca="1">INT((TODAY()-D4)/365.25)</f>
        <v>30</v>
      </c>
      <c r="E5" s="25"/>
      <c r="Q5" s="37" t="s">
        <v>68</v>
      </c>
      <c r="R5" s="39">
        <f>MAX(0,MIN(V5*U5,V5*T5))</f>
        <v>32000</v>
      </c>
      <c r="S5" s="39">
        <v>500000</v>
      </c>
      <c r="T5" s="39">
        <f>S5-S4</f>
        <v>320000</v>
      </c>
      <c r="U5" s="40">
        <f>E50-U4</f>
        <v>614117</v>
      </c>
      <c r="V5" s="41">
        <v>0.1</v>
      </c>
    </row>
    <row r="6" spans="2:22" ht="15">
      <c r="B6" s="1"/>
      <c r="C6" s="33" t="s">
        <v>8</v>
      </c>
      <c r="D6" s="26" t="s">
        <v>9</v>
      </c>
      <c r="E6" s="25"/>
      <c r="Q6" s="37" t="s">
        <v>69</v>
      </c>
      <c r="R6" s="39">
        <f>MAX(0,MIN(V6*U6,V6*T6))</f>
        <v>58823.4</v>
      </c>
      <c r="S6" s="39">
        <v>800000</v>
      </c>
      <c r="T6" s="39">
        <f>S6-S5</f>
        <v>300000</v>
      </c>
      <c r="U6" s="39">
        <f>U5-T5</f>
        <v>294117</v>
      </c>
      <c r="V6" s="41">
        <v>0.2</v>
      </c>
    </row>
    <row r="7" spans="2:22" ht="15">
      <c r="B7" s="2" t="s">
        <v>11</v>
      </c>
      <c r="C7" s="27">
        <v>1272972</v>
      </c>
      <c r="D7" s="6"/>
      <c r="E7" s="7">
        <f>C7</f>
        <v>1272972</v>
      </c>
      <c r="Q7" s="37" t="s">
        <v>70</v>
      </c>
      <c r="R7" s="39">
        <f>MAX(0,MIN(V7*U7,V7*T7))</f>
        <v>0</v>
      </c>
      <c r="S7" s="39"/>
      <c r="T7" s="42">
        <f>'tax clculator'!E50-S6</f>
        <v>-5883</v>
      </c>
      <c r="U7" s="43">
        <f>U6-T6</f>
        <v>-5883</v>
      </c>
      <c r="V7" s="41">
        <v>0.30000000000000004</v>
      </c>
    </row>
    <row r="8" spans="2:22" ht="15">
      <c r="B8" s="2" t="s">
        <v>13</v>
      </c>
      <c r="C8" s="28"/>
      <c r="D8" s="6"/>
      <c r="E8" s="7">
        <f>-SUM(D9,D14,D15,D16)</f>
        <v>-191862</v>
      </c>
      <c r="Q8" s="37" t="s">
        <v>14</v>
      </c>
      <c r="R8" s="44">
        <f>SUM(R4:R7)</f>
        <v>90823.4</v>
      </c>
      <c r="S8" s="39"/>
      <c r="T8" s="39"/>
      <c r="U8" s="39"/>
      <c r="V8" s="41"/>
    </row>
    <row r="9" spans="2:5" ht="15">
      <c r="B9" s="3" t="s">
        <v>15</v>
      </c>
      <c r="C9" s="28"/>
      <c r="D9" s="8">
        <f>MIN(D11:D13)</f>
        <v>191862</v>
      </c>
      <c r="E9" s="9"/>
    </row>
    <row r="10" spans="2:22" ht="12.75">
      <c r="B10" s="1" t="s">
        <v>16</v>
      </c>
      <c r="C10" s="29" t="s">
        <v>9</v>
      </c>
      <c r="D10" s="6"/>
      <c r="E10" s="9"/>
      <c r="Q10" s="37" t="s">
        <v>17</v>
      </c>
      <c r="R10" s="38" t="s">
        <v>1</v>
      </c>
      <c r="S10" s="38" t="s">
        <v>2</v>
      </c>
      <c r="T10" s="38" t="s">
        <v>3</v>
      </c>
      <c r="U10" s="38" t="s">
        <v>4</v>
      </c>
      <c r="V10" s="38" t="s">
        <v>5</v>
      </c>
    </row>
    <row r="11" spans="2:22" ht="15">
      <c r="B11" s="1" t="s">
        <v>18</v>
      </c>
      <c r="C11" s="30">
        <v>383724</v>
      </c>
      <c r="D11" s="8">
        <f>IF(UPPER(C10)="M",C11*0.5,C11*0.4)</f>
        <v>191862</v>
      </c>
      <c r="E11" s="9"/>
      <c r="Q11" s="37" t="s">
        <v>19</v>
      </c>
      <c r="R11" s="39">
        <f>V11*U11</f>
        <v>0</v>
      </c>
      <c r="S11" s="39">
        <v>190000</v>
      </c>
      <c r="T11" s="39"/>
      <c r="U11" s="39">
        <f>S11</f>
        <v>190000</v>
      </c>
      <c r="V11" s="41">
        <v>0</v>
      </c>
    </row>
    <row r="12" spans="2:22" ht="15">
      <c r="B12" s="1" t="s">
        <v>20</v>
      </c>
      <c r="C12" s="30">
        <v>231000</v>
      </c>
      <c r="D12" s="8">
        <f>C12-0.1*C11</f>
        <v>192627.6</v>
      </c>
      <c r="E12" s="9"/>
      <c r="Q12" s="37" t="s">
        <v>21</v>
      </c>
      <c r="R12" s="39">
        <f>MAX(0,MIN(V12*U12,V12*T12))</f>
        <v>31000</v>
      </c>
      <c r="S12" s="39">
        <v>500000</v>
      </c>
      <c r="T12" s="39">
        <f>S12-S11</f>
        <v>310000</v>
      </c>
      <c r="U12" s="42">
        <f>'tax clculator'!E50-U11</f>
        <v>604117</v>
      </c>
      <c r="V12" s="41">
        <v>0.1</v>
      </c>
    </row>
    <row r="13" spans="2:22" ht="15">
      <c r="B13" s="1" t="s">
        <v>22</v>
      </c>
      <c r="C13" s="30">
        <v>191862</v>
      </c>
      <c r="D13" s="8">
        <f>C13</f>
        <v>191862</v>
      </c>
      <c r="E13" s="9"/>
      <c r="Q13" s="37" t="s">
        <v>10</v>
      </c>
      <c r="R13" s="39">
        <f>MAX(0,MIN(V13*U13,V13*T13))</f>
        <v>58823.4</v>
      </c>
      <c r="S13" s="39">
        <v>800000</v>
      </c>
      <c r="T13" s="39">
        <f>S13-S12</f>
        <v>300000</v>
      </c>
      <c r="U13" s="39">
        <f>U12-T12</f>
        <v>294117</v>
      </c>
      <c r="V13" s="41">
        <v>0.2</v>
      </c>
    </row>
    <row r="14" spans="2:22" ht="15">
      <c r="B14" s="3" t="s">
        <v>23</v>
      </c>
      <c r="C14" s="30">
        <v>0</v>
      </c>
      <c r="D14" s="8">
        <f>MAX(MIN(C14,12*800),0)</f>
        <v>0</v>
      </c>
      <c r="E14" s="9"/>
      <c r="Q14" s="37" t="s">
        <v>12</v>
      </c>
      <c r="R14" s="39">
        <f>MAX(0,MIN(V14*U14,V14*T14))</f>
        <v>0</v>
      </c>
      <c r="S14" s="39"/>
      <c r="T14" s="42">
        <f>'tax clculator'!E50-S13</f>
        <v>-5883</v>
      </c>
      <c r="U14" s="39">
        <f>U13-T13</f>
        <v>-5883</v>
      </c>
      <c r="V14" s="41">
        <v>0.30000000000000004</v>
      </c>
    </row>
    <row r="15" spans="2:22" ht="15">
      <c r="B15" s="3" t="s">
        <v>24</v>
      </c>
      <c r="C15" s="30">
        <v>0</v>
      </c>
      <c r="D15" s="8">
        <f>C15</f>
        <v>0</v>
      </c>
      <c r="E15" s="9"/>
      <c r="Q15" s="37" t="s">
        <v>14</v>
      </c>
      <c r="R15" s="44">
        <f>SUM(R11:R14)</f>
        <v>89823.4</v>
      </c>
      <c r="S15" s="39"/>
      <c r="T15" s="39"/>
      <c r="U15" s="39"/>
      <c r="V15" s="41"/>
    </row>
    <row r="16" spans="2:5" ht="15">
      <c r="B16" s="3" t="s">
        <v>25</v>
      </c>
      <c r="C16" s="30">
        <v>0</v>
      </c>
      <c r="D16" s="8">
        <f>C16</f>
        <v>0</v>
      </c>
      <c r="E16" s="9"/>
    </row>
    <row r="17" spans="2:22" ht="15">
      <c r="B17" s="2" t="s">
        <v>26</v>
      </c>
      <c r="C17" s="28"/>
      <c r="D17" s="6"/>
      <c r="E17" s="7">
        <f>SUM(E7:E8)</f>
        <v>1081110</v>
      </c>
      <c r="Q17" s="37" t="s">
        <v>27</v>
      </c>
      <c r="R17" s="38" t="s">
        <v>1</v>
      </c>
      <c r="S17" s="38" t="s">
        <v>2</v>
      </c>
      <c r="T17" s="38" t="s">
        <v>3</v>
      </c>
      <c r="U17" s="38" t="s">
        <v>4</v>
      </c>
      <c r="V17" s="38" t="s">
        <v>5</v>
      </c>
    </row>
    <row r="18" spans="2:22" ht="15">
      <c r="B18" s="2" t="s">
        <v>28</v>
      </c>
      <c r="C18" s="28"/>
      <c r="D18" s="8">
        <f>SUM(C20:C28)</f>
        <v>0</v>
      </c>
      <c r="E18" s="7">
        <v>0</v>
      </c>
      <c r="Q18" s="37" t="s">
        <v>73</v>
      </c>
      <c r="R18" s="39">
        <f>V18*U18</f>
        <v>0</v>
      </c>
      <c r="S18" s="39">
        <v>250000</v>
      </c>
      <c r="T18" s="39"/>
      <c r="U18" s="39">
        <f>S18</f>
        <v>250000</v>
      </c>
      <c r="V18" s="41">
        <v>0</v>
      </c>
    </row>
    <row r="19" spans="2:22" ht="12.75">
      <c r="B19" s="3" t="s">
        <v>29</v>
      </c>
      <c r="C19" s="28"/>
      <c r="D19" s="6"/>
      <c r="E19" s="9"/>
      <c r="Q19" s="37" t="s">
        <v>74</v>
      </c>
      <c r="R19" s="39">
        <f>MAX(0,MIN(V19*U19,V19*T19))</f>
        <v>25000</v>
      </c>
      <c r="S19" s="39">
        <v>500000</v>
      </c>
      <c r="T19" s="39">
        <f>S19-S18</f>
        <v>250000</v>
      </c>
      <c r="U19" s="42">
        <f>'tax clculator'!E50-U18</f>
        <v>544117</v>
      </c>
      <c r="V19" s="41">
        <v>0.1</v>
      </c>
    </row>
    <row r="20" spans="2:22" ht="15">
      <c r="B20" s="1" t="s">
        <v>30</v>
      </c>
      <c r="C20" s="30">
        <v>0</v>
      </c>
      <c r="D20" s="6"/>
      <c r="E20" s="9"/>
      <c r="Q20" s="37" t="s">
        <v>69</v>
      </c>
      <c r="R20" s="39">
        <f>MAX(0,MIN(V20*U20,V20*T20))</f>
        <v>58823.4</v>
      </c>
      <c r="S20" s="39">
        <v>800000</v>
      </c>
      <c r="T20" s="39">
        <f>S20-S19</f>
        <v>300000</v>
      </c>
      <c r="U20" s="39">
        <f>U19-T19</f>
        <v>294117</v>
      </c>
      <c r="V20" s="41">
        <v>0.2</v>
      </c>
    </row>
    <row r="21" spans="2:22" ht="15">
      <c r="B21" s="1" t="s">
        <v>31</v>
      </c>
      <c r="C21" s="30">
        <v>0</v>
      </c>
      <c r="D21" s="6"/>
      <c r="E21" s="9"/>
      <c r="Q21" s="37" t="s">
        <v>70</v>
      </c>
      <c r="R21" s="39">
        <f>MAX(0,MIN(V21*U21,V21*T21))</f>
        <v>0</v>
      </c>
      <c r="S21" s="39"/>
      <c r="T21" s="42">
        <f>'tax clculator'!E50-S20</f>
        <v>-5883</v>
      </c>
      <c r="U21" s="39">
        <f>U20-T20</f>
        <v>-5883</v>
      </c>
      <c r="V21" s="41">
        <v>0.30000000000000004</v>
      </c>
    </row>
    <row r="22" spans="2:22" ht="15">
      <c r="B22" s="1" t="s">
        <v>32</v>
      </c>
      <c r="C22" s="30">
        <v>0</v>
      </c>
      <c r="D22" s="6"/>
      <c r="E22" s="9"/>
      <c r="Q22" s="37" t="s">
        <v>14</v>
      </c>
      <c r="R22" s="44">
        <f>SUM(R18:R21)</f>
        <v>83823.4</v>
      </c>
      <c r="S22" s="39"/>
      <c r="T22" s="39"/>
      <c r="U22" s="39"/>
      <c r="V22" s="41"/>
    </row>
    <row r="23" spans="2:5" ht="15">
      <c r="B23" s="1" t="s">
        <v>33</v>
      </c>
      <c r="C23" s="30">
        <v>0</v>
      </c>
      <c r="D23" s="6"/>
      <c r="E23" s="9"/>
    </row>
    <row r="24" spans="2:22" ht="15">
      <c r="B24" s="1" t="s">
        <v>34</v>
      </c>
      <c r="C24" s="30">
        <v>0</v>
      </c>
      <c r="D24" s="6"/>
      <c r="E24" s="9"/>
      <c r="Q24" s="37" t="s">
        <v>66</v>
      </c>
      <c r="R24" s="38" t="s">
        <v>1</v>
      </c>
      <c r="S24" s="38" t="s">
        <v>2</v>
      </c>
      <c r="T24" s="38" t="s">
        <v>3</v>
      </c>
      <c r="U24" s="38" t="s">
        <v>4</v>
      </c>
      <c r="V24" s="38" t="s">
        <v>5</v>
      </c>
    </row>
    <row r="25" spans="2:22" ht="15">
      <c r="B25" s="1" t="s">
        <v>35</v>
      </c>
      <c r="C25" s="30">
        <v>0</v>
      </c>
      <c r="D25" s="6"/>
      <c r="E25" s="9"/>
      <c r="Q25" s="37" t="s">
        <v>75</v>
      </c>
      <c r="R25" s="39">
        <f>V25*U25</f>
        <v>0</v>
      </c>
      <c r="S25" s="39">
        <v>500000</v>
      </c>
      <c r="T25" s="39"/>
      <c r="U25" s="39">
        <f>S25</f>
        <v>500000</v>
      </c>
      <c r="V25" s="41">
        <v>0</v>
      </c>
    </row>
    <row r="26" spans="2:22" ht="15">
      <c r="B26" s="1" t="s">
        <v>36</v>
      </c>
      <c r="C26" s="30">
        <v>0</v>
      </c>
      <c r="D26" s="6"/>
      <c r="E26" s="9"/>
      <c r="Q26" s="37" t="s">
        <v>69</v>
      </c>
      <c r="R26" s="39">
        <f>MAX(0,MIN(V26*U26,V26*T26))</f>
        <v>58823.4</v>
      </c>
      <c r="S26" s="39">
        <v>800000</v>
      </c>
      <c r="T26" s="39">
        <f>S26-S25</f>
        <v>300000</v>
      </c>
      <c r="U26" s="42">
        <f>'tax clculator'!E50-U25</f>
        <v>294117</v>
      </c>
      <c r="V26" s="41">
        <v>0.2</v>
      </c>
    </row>
    <row r="27" spans="2:22" ht="15">
      <c r="B27" s="3" t="s">
        <v>37</v>
      </c>
      <c r="C27" s="30">
        <v>0</v>
      </c>
      <c r="D27" s="6"/>
      <c r="E27" s="9"/>
      <c r="Q27" s="37" t="s">
        <v>70</v>
      </c>
      <c r="R27" s="39">
        <f>MAX(0,MIN(V27*U27,V27*T27))</f>
        <v>0</v>
      </c>
      <c r="S27" s="39">
        <v>800000</v>
      </c>
      <c r="T27" s="42">
        <f>'tax clculator'!E50-S26</f>
        <v>-5883</v>
      </c>
      <c r="U27" s="39">
        <f>U26-T26</f>
        <v>-5883</v>
      </c>
      <c r="V27" s="41">
        <v>0.3</v>
      </c>
    </row>
    <row r="28" spans="2:22" ht="15">
      <c r="B28" s="3" t="s">
        <v>38</v>
      </c>
      <c r="C28" s="30">
        <v>0</v>
      </c>
      <c r="D28" s="6"/>
      <c r="E28" s="9"/>
      <c r="Q28" s="37" t="s">
        <v>14</v>
      </c>
      <c r="R28" s="44">
        <f>SUM(R25:R27)</f>
        <v>58823.4</v>
      </c>
      <c r="S28" s="39"/>
      <c r="T28" s="39"/>
      <c r="U28" s="39"/>
      <c r="V28" s="41"/>
    </row>
    <row r="29" spans="2:5" ht="15">
      <c r="B29" s="2" t="s">
        <v>39</v>
      </c>
      <c r="C29" s="30">
        <v>0</v>
      </c>
      <c r="D29" s="6"/>
      <c r="E29" s="7">
        <f>-MAX(MIN((C30-C29),150000),0)</f>
        <v>-148993</v>
      </c>
    </row>
    <row r="30" spans="2:5" ht="15">
      <c r="B30" s="1" t="s">
        <v>40</v>
      </c>
      <c r="C30" s="30">
        <v>148993</v>
      </c>
      <c r="D30" s="10"/>
      <c r="E30" s="9"/>
    </row>
    <row r="31" spans="2:5" ht="15">
      <c r="B31" s="2" t="s">
        <v>41</v>
      </c>
      <c r="C31" s="28" t="s">
        <v>42</v>
      </c>
      <c r="D31" s="6"/>
      <c r="E31" s="7">
        <f>SUM(E29,E17,E18)</f>
        <v>932117</v>
      </c>
    </row>
    <row r="32" spans="2:5" ht="15">
      <c r="B32" s="2" t="s">
        <v>43</v>
      </c>
      <c r="C32" s="28"/>
      <c r="D32" s="8">
        <f>IF(SUM(C33:C42)&gt;100001,100000,SUM(C33:C42))</f>
        <v>100000</v>
      </c>
      <c r="E32" s="7">
        <f>-D32</f>
        <v>-100000</v>
      </c>
    </row>
    <row r="33" spans="2:5" ht="15">
      <c r="B33" s="1" t="s">
        <v>44</v>
      </c>
      <c r="C33" s="30">
        <v>41861</v>
      </c>
      <c r="D33" s="6"/>
      <c r="E33" s="9"/>
    </row>
    <row r="34" spans="2:5" ht="15">
      <c r="B34" s="1" t="s">
        <v>45</v>
      </c>
      <c r="C34" s="30">
        <v>20379</v>
      </c>
      <c r="D34" s="6"/>
      <c r="E34" s="9"/>
    </row>
    <row r="35" spans="2:5" ht="15">
      <c r="B35" s="1" t="s">
        <v>46</v>
      </c>
      <c r="C35" s="30">
        <v>0</v>
      </c>
      <c r="D35" s="6"/>
      <c r="E35" s="9"/>
    </row>
    <row r="36" spans="2:5" ht="15">
      <c r="B36" s="1" t="s">
        <v>47</v>
      </c>
      <c r="C36" s="30">
        <v>0</v>
      </c>
      <c r="D36" s="6"/>
      <c r="E36" s="9"/>
    </row>
    <row r="37" spans="2:5" ht="15">
      <c r="B37" s="1" t="s">
        <v>48</v>
      </c>
      <c r="C37" s="30">
        <v>61336</v>
      </c>
      <c r="D37" s="6"/>
      <c r="E37" s="9"/>
    </row>
    <row r="38" spans="2:5" ht="15">
      <c r="B38" s="1" t="s">
        <v>49</v>
      </c>
      <c r="C38" s="30">
        <v>0</v>
      </c>
      <c r="D38" s="6"/>
      <c r="E38" s="9"/>
    </row>
    <row r="39" spans="2:5" ht="15">
      <c r="B39" s="1" t="s">
        <v>50</v>
      </c>
      <c r="C39" s="30">
        <v>0</v>
      </c>
      <c r="D39" s="6"/>
      <c r="E39" s="9"/>
    </row>
    <row r="40" spans="2:5" ht="15">
      <c r="B40" s="1" t="s">
        <v>51</v>
      </c>
      <c r="C40" s="30">
        <v>0</v>
      </c>
      <c r="D40" s="6"/>
      <c r="E40" s="9"/>
    </row>
    <row r="41" spans="2:5" ht="15">
      <c r="B41" s="1" t="s">
        <v>52</v>
      </c>
      <c r="C41" s="30">
        <v>0</v>
      </c>
      <c r="D41" s="6"/>
      <c r="E41" s="9"/>
    </row>
    <row r="42" spans="2:5" ht="15">
      <c r="B42" s="1" t="s">
        <v>53</v>
      </c>
      <c r="C42" s="30">
        <v>0</v>
      </c>
      <c r="D42" s="6"/>
      <c r="E42" s="9"/>
    </row>
    <row r="43" spans="2:5" ht="15">
      <c r="B43" s="3" t="s">
        <v>72</v>
      </c>
      <c r="C43" s="30">
        <v>20000</v>
      </c>
      <c r="D43" s="6"/>
      <c r="E43" s="11">
        <f>-MAX(C43,0)</f>
        <v>-20000</v>
      </c>
    </row>
    <row r="44" spans="2:5" ht="15">
      <c r="B44" s="2" t="s">
        <v>54</v>
      </c>
      <c r="C44" s="28"/>
      <c r="D44" s="10"/>
      <c r="E44" s="8">
        <f>-SUM(D45:D46,C47:C49)</f>
        <v>-18000</v>
      </c>
    </row>
    <row r="45" spans="2:5" ht="15">
      <c r="B45" s="1" t="s">
        <v>55</v>
      </c>
      <c r="C45" s="30">
        <v>0</v>
      </c>
      <c r="D45" s="8">
        <f>IF(C45&gt;15001,15000,C45)</f>
        <v>0</v>
      </c>
      <c r="E45" s="9"/>
    </row>
    <row r="46" spans="2:5" ht="15">
      <c r="B46" s="1" t="s">
        <v>56</v>
      </c>
      <c r="C46" s="30">
        <v>0</v>
      </c>
      <c r="D46" s="8">
        <f>IF(C46&gt;20001,20000,C46)</f>
        <v>0</v>
      </c>
      <c r="E46" s="9"/>
    </row>
    <row r="47" spans="2:5" ht="15">
      <c r="B47" s="1" t="s">
        <v>57</v>
      </c>
      <c r="C47" s="30">
        <v>18000</v>
      </c>
      <c r="D47" s="6"/>
      <c r="E47" s="9"/>
    </row>
    <row r="48" spans="2:5" ht="15">
      <c r="B48" s="1" t="s">
        <v>58</v>
      </c>
      <c r="C48" s="30">
        <v>0</v>
      </c>
      <c r="D48" s="6"/>
      <c r="E48" s="9"/>
    </row>
    <row r="49" spans="2:5" ht="15">
      <c r="B49" s="1" t="s">
        <v>59</v>
      </c>
      <c r="C49" s="30">
        <v>0</v>
      </c>
      <c r="D49" s="6"/>
      <c r="E49" s="9"/>
    </row>
    <row r="50" spans="2:5" ht="15">
      <c r="B50" s="2" t="s">
        <v>60</v>
      </c>
      <c r="C50" s="28"/>
      <c r="D50" s="6"/>
      <c r="E50" s="12">
        <f>SUM(E31,E32,E44,E43)</f>
        <v>794117</v>
      </c>
    </row>
    <row r="51" spans="2:5" ht="15">
      <c r="B51" s="3" t="s">
        <v>61</v>
      </c>
      <c r="C51" s="28"/>
      <c r="D51" s="6"/>
      <c r="E51" s="12">
        <f>IF(D5&gt;80,'tax clculator'!R28,IF(D5&gt;60,'tax clculator'!R22,(IF(UPPER(D6)="F",'tax clculator'!R15,'tax clculator'!R8))))</f>
        <v>90823.4</v>
      </c>
    </row>
    <row r="52" spans="2:5" ht="15">
      <c r="B52" s="3" t="s">
        <v>62</v>
      </c>
      <c r="C52" s="28"/>
      <c r="D52" s="6"/>
      <c r="E52" s="12">
        <f>0.03*E51</f>
        <v>2724.7019999999998</v>
      </c>
    </row>
    <row r="53" spans="2:5" ht="15.75">
      <c r="B53" s="4" t="s">
        <v>63</v>
      </c>
      <c r="C53" s="31"/>
      <c r="D53" s="13"/>
      <c r="E53" s="14">
        <f>SUM(E51:E52)</f>
        <v>93548.102</v>
      </c>
    </row>
    <row r="54" spans="2:5" ht="15">
      <c r="B54" s="5" t="s">
        <v>64</v>
      </c>
      <c r="C54" s="32"/>
      <c r="D54" s="15"/>
      <c r="E54" s="16">
        <f>E53/(E7+E18)</f>
        <v>0.07348794946000384</v>
      </c>
    </row>
    <row r="58" ht="12.75">
      <c r="Q58" s="41"/>
    </row>
    <row r="59" ht="12.75">
      <c r="Q59" s="41"/>
    </row>
    <row r="60" ht="12.75">
      <c r="Q60" s="41"/>
    </row>
    <row r="61" ht="12.75">
      <c r="Q61" s="41"/>
    </row>
  </sheetData>
  <sheetProtection password="A24A" sheet="1"/>
  <mergeCells count="2">
    <mergeCell ref="B1:E1"/>
    <mergeCell ref="B2:E2"/>
  </mergeCells>
  <hyperlinks>
    <hyperlink ref="B2" r:id="rId1" display="www.ApnaPlan.com"/>
  </hyperlinks>
  <printOptions/>
  <pageMargins left="0.7875" right="0.7875" top="1.025" bottom="1.025" header="0.7875" footer="0.7875"/>
  <pageSetup firstPageNumber="1" useFirstPageNumber="1" horizontalDpi="300" verticalDpi="300" orientation="portrait" r:id="rId4"/>
  <headerFooter alignWithMargins="0">
    <oddHeader>&amp;C&amp;A</oddHeader>
    <oddFooter>&amp;CPage &amp;P</oddFooter>
  </headerFooter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akuma68</cp:lastModifiedBy>
  <dcterms:modified xsi:type="dcterms:W3CDTF">2012-03-17T04:23:45Z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XPAuthor">
    <vt:lpwstr>amit</vt:lpwstr>
  </property>
  <property fmtid="{D5CDD505-2E9C-101B-9397-08002B2CF9AE}" pid="3" name="AXPDataClassification">
    <vt:lpwstr>AXP Public</vt:lpwstr>
  </property>
  <property fmtid="{D5CDD505-2E9C-101B-9397-08002B2CF9AE}" pid="4" name="AXPDataClassificationForSearch">
    <vt:lpwstr>AXPPublic_UniqueSearchString</vt:lpwstr>
  </property>
</Properties>
</file>